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ya.c1\OneDrive\Documents\Custom Office Templates\"/>
    </mc:Choice>
  </mc:AlternateContent>
  <xr:revisionPtr revIDLastSave="0" documentId="8_{970E1492-D9E7-45E6-9564-328CE3144EB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3" l="1"/>
  <c r="E50" i="3"/>
  <c r="C50" i="3"/>
  <c r="E51" i="3"/>
  <c r="D51" i="3"/>
  <c r="D49" i="3"/>
  <c r="E49" i="3"/>
  <c r="C49" i="3"/>
  <c r="D48" i="3"/>
  <c r="E48" i="3"/>
  <c r="C48" i="3"/>
  <c r="D47" i="3"/>
  <c r="E47" i="3"/>
  <c r="C47" i="3"/>
  <c r="D46" i="3"/>
  <c r="E46" i="3"/>
  <c r="C46" i="3"/>
  <c r="D45" i="3"/>
  <c r="E45" i="3"/>
  <c r="C45" i="3"/>
  <c r="D44" i="3"/>
  <c r="E44" i="3"/>
  <c r="C44" i="3"/>
  <c r="D42" i="3"/>
  <c r="E42" i="3"/>
  <c r="C42" i="3"/>
  <c r="D43" i="3"/>
  <c r="E43" i="3"/>
  <c r="C43" i="3"/>
  <c r="D41" i="3"/>
  <c r="E41" i="3"/>
  <c r="C41" i="3"/>
  <c r="D40" i="3"/>
  <c r="E40" i="3"/>
  <c r="C40" i="3"/>
  <c r="D37" i="3"/>
  <c r="E37" i="3"/>
  <c r="D36" i="3"/>
  <c r="E36" i="3"/>
  <c r="C37" i="3"/>
  <c r="C36" i="3"/>
  <c r="D35" i="3"/>
  <c r="E35" i="3"/>
  <c r="C35" i="3"/>
  <c r="D34" i="3"/>
  <c r="E34" i="3"/>
  <c r="C34" i="3"/>
  <c r="D30" i="3"/>
  <c r="E30" i="3"/>
  <c r="C30" i="3"/>
  <c r="D31" i="3"/>
  <c r="E31" i="3"/>
  <c r="C31" i="3"/>
  <c r="D29" i="3"/>
  <c r="E29" i="3"/>
  <c r="C29" i="3"/>
  <c r="D28" i="3"/>
  <c r="E28" i="3"/>
  <c r="C28" i="3"/>
  <c r="D27" i="3"/>
  <c r="E27" i="3"/>
  <c r="C27" i="3"/>
  <c r="D26" i="3"/>
  <c r="E26" i="3"/>
  <c r="C26" i="3"/>
  <c r="D18" i="3"/>
  <c r="E18" i="3"/>
  <c r="C18" i="3"/>
  <c r="D20" i="3"/>
  <c r="E20" i="3"/>
  <c r="C20" i="3"/>
  <c r="E21" i="3"/>
  <c r="D21" i="3"/>
  <c r="C21" i="3"/>
  <c r="E19" i="3"/>
  <c r="C19" i="3"/>
  <c r="D19" i="3"/>
  <c r="D13" i="3"/>
  <c r="E13" i="3"/>
  <c r="C13" i="3"/>
  <c r="D14" i="3"/>
  <c r="E14" i="3"/>
  <c r="C14" i="3"/>
  <c r="C9" i="3"/>
  <c r="E8" i="3"/>
  <c r="D8" i="3"/>
  <c r="C8" i="3"/>
  <c r="D7" i="3"/>
  <c r="E7" i="3"/>
  <c r="C7" i="3"/>
  <c r="B42" i="1" l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E6" i="3" s="1"/>
  <c r="C56" i="1"/>
  <c r="B56" i="1"/>
  <c r="D47" i="1"/>
  <c r="C47" i="1"/>
  <c r="B47" i="1"/>
  <c r="D42" i="1"/>
  <c r="C42" i="1"/>
  <c r="B48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C62" i="1" l="1"/>
  <c r="D6" i="3"/>
  <c r="C13" i="1"/>
  <c r="D17" i="3" s="1"/>
  <c r="D11" i="3"/>
  <c r="C25" i="3"/>
  <c r="B62" i="1"/>
  <c r="C6" i="3"/>
  <c r="C5" i="3"/>
  <c r="D4" i="3"/>
  <c r="D5" i="3"/>
  <c r="D25" i="3"/>
  <c r="D9" i="3"/>
  <c r="D10" i="3"/>
  <c r="E5" i="3"/>
  <c r="E4" i="3"/>
  <c r="E25" i="3"/>
  <c r="D13" i="1"/>
  <c r="E11" i="3"/>
  <c r="C10" i="3"/>
  <c r="C12" i="3"/>
  <c r="E9" i="3"/>
  <c r="E12" i="3" s="1"/>
  <c r="E10" i="3"/>
  <c r="B13" i="1"/>
  <c r="C17" i="3" s="1"/>
  <c r="C11" i="3"/>
  <c r="C4" i="3"/>
  <c r="C18" i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18" i="1" l="1"/>
  <c r="D12" i="3"/>
  <c r="D18" i="1"/>
  <c r="E17" i="3"/>
  <c r="C20" i="1"/>
  <c r="A24" i="3"/>
  <c r="A25" i="3" s="1"/>
  <c r="A26" i="3" s="1"/>
  <c r="A27" i="3" s="1"/>
  <c r="A28" i="3" s="1"/>
  <c r="A29" i="3" s="1"/>
  <c r="A30" i="3" s="1"/>
  <c r="A33" i="3"/>
  <c r="D20" i="1" l="1"/>
  <c r="C22" i="1"/>
  <c r="B20" i="1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B22" i="1" l="1"/>
  <c r="C76" i="1"/>
  <c r="C91" i="1" s="1"/>
  <c r="D22" i="3"/>
  <c r="D22" i="1"/>
  <c r="C109" i="1" l="1"/>
  <c r="D76" i="1"/>
  <c r="D91" i="1" s="1"/>
  <c r="E22" i="3"/>
  <c r="B76" i="1"/>
  <c r="B91" i="1" s="1"/>
  <c r="C22" i="3"/>
  <c r="B109" i="1" l="1"/>
  <c r="D109" i="1"/>
</calcChain>
</file>

<file path=xl/sharedStrings.xml><?xml version="1.0" encoding="utf-8"?>
<sst xmlns="http://schemas.openxmlformats.org/spreadsheetml/2006/main" count="205" uniqueCount="180">
  <si>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</si>
  <si>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</si>
  <si>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</si>
  <si>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</si>
  <si>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</si>
  <si>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</si>
  <si>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</si>
  <si>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</si>
  <si>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</si>
  <si>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</si>
  <si>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</si>
  <si>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</si>
  <si>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</si>
  <si>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</si>
  <si>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</si>
  <si>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</si>
  <si>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</si>
  <si>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</si>
  <si>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</si>
  <si>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</si>
  <si>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</si>
  <si>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</si>
  <si>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</si>
  <si>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</si>
  <si>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</si>
  <si>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</si>
  <si>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</si>
  <si>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</si>
  <si>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</si>
  <si>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</si>
  <si>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</si>
  <si>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</si>
  <si>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</si>
  <si>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</si>
  <si>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</si>
  <si>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</si>
  <si>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</si>
  <si>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</si>
  <si>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</si>
  <si>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</si>
  <si>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</si>
  <si>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</si>
  <si>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</si>
  <si>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</si>
  <si>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</si>
  <si>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</si>
  <si>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</si>
  <si>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</si>
  <si>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</si>
  <si>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</si>
  <si>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</si>
  <si>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</si>
  <si>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</si>
  <si>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</si>
  <si>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</si>
  <si>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</si>
  <si>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</si>
  <si>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</si>
  <si>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</si>
  <si>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</si>
  <si>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</si>
  <si>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</si>
  <si>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</si>
  <si>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</si>
  <si>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</si>
  <si>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</si>
  <si>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</si>
  <si>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</si>
  <si>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</si>
  <si>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</si>
  <si>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</si>
  <si>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</si>
  <si>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</si>
  <si>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</si>
  <si>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</si>
  <si>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</si>
  <si>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</si>
  <si>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</si>
  <si>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</si>
  <si>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</si>
  <si>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</si>
  <si>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</si>
  <si>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</si>
  <si>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</si>
  <si>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</si>
  <si>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</si>
  <si>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</si>
  <si>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</si>
  <si>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</si>
  <si>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</si>
  <si>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</si>
  <si>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</si>
  <si>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</si>
  <si>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</si>
  <si>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</si>
  <si>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</si>
  <si>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</si>
  <si>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</si>
  <si>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</si>
  <si>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</si>
  <si>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</si>
  <si>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</si>
  <si>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</si>
  <si>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</si>
  <si>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</si>
  <si>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</si>
  <si>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</si>
  <si>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</si>
  <si>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</si>
  <si>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</si>
  <si>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</si>
  <si>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</si>
  <si>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</si>
  <si>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</si>
  <si>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</si>
  <si>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</si>
  <si>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</si>
  <si>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</si>
  <si>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</si>
  <si>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</si>
  <si>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</si>
  <si>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</si>
  <si>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</si>
  <si>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</si>
  <si>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</si>
  <si>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</si>
  <si>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</si>
  <si>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</si>
  <si>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</si>
  <si>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</si>
  <si>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</si>
  <si>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</si>
  <si>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</si>
  <si>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</si>
  <si>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</si>
  <si>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</si>
  <si>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</si>
  <si>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</si>
  <si>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</si>
  <si>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</si>
  <si>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</si>
  <si>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</si>
  <si>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</si>
  <si>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</si>
  <si>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</si>
  <si>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</si>
  <si>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</si>
  <si>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</si>
  <si>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</si>
  <si>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</si>
  <si>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Current Assets / Daily Operational Expenses where Daily Operational Expenses = (Annual Operating Expenses - Noncash Charges) / 365</t>
  </si>
  <si>
    <t>Cash + Cash Equivalents / Current Liabilities</t>
  </si>
  <si>
    <t>Inventory Days + Receivable Days - Payable Days</t>
  </si>
  <si>
    <t>Working Capital / Total Net Sales</t>
  </si>
  <si>
    <t>Inventory + Receivables  - payables or Current assets - current liabilities</t>
  </si>
  <si>
    <t>Operating Income in row 18 + Depreciation &amp; Amortization</t>
  </si>
  <si>
    <t>Operating Income in row 18</t>
  </si>
  <si>
    <t>EBITDA/Revenue</t>
  </si>
  <si>
    <t>Operating Income in row 18/Revenue</t>
  </si>
  <si>
    <t>Term debt / (Term debt +Total Shareholders Equity)</t>
  </si>
  <si>
    <t>EBIT / (Interest + Debt repayment) debt repayment can be found in cash flow</t>
  </si>
  <si>
    <t>EBIT / Interest can be found at the bottom of the cash flow</t>
  </si>
  <si>
    <t>Cash from operations + Capex (purchase of PPE in cash flow) + Proceeds from issuance of term debt (in cash flow)</t>
  </si>
  <si>
    <t>FCFE/Diluted number of Shares (note that the share count is in absolute number and income statement is in millions, therefore divide the shares by 1000)</t>
  </si>
  <si>
    <t>Remove division by 2  (average should be prior year + current year /2), but average is not required here</t>
  </si>
  <si>
    <t>COGS / Average Inventory</t>
  </si>
  <si>
    <t>Net Income / Total Assets</t>
  </si>
  <si>
    <t>Share Price / EPS</t>
  </si>
  <si>
    <t>Share Price / Book Value per Share</t>
  </si>
  <si>
    <t>Dividend Paid / Net Income</t>
  </si>
  <si>
    <t>Dividend Per Share / Share Price</t>
  </si>
  <si>
    <t>EV / EBITDA</t>
  </si>
  <si>
    <t>Total shareholder equity/ Diluted number of Shares (note that the share count is in absolute number and income statement is in millions, therefore divide the shares by 1000)</t>
  </si>
  <si>
    <t>Dividend Paid (can be found in cash flow) / Diluted number of Shares (note that the share count is in absolute number and income statement is in millions, therefore divide the shares by 1000)</t>
  </si>
  <si>
    <t>Net Income / Total Shareholders Equity</t>
  </si>
  <si>
    <t>EBIT / Capital Employed where Capital employed = Total shareholder equity + Term debt (under non-current liability)</t>
  </si>
  <si>
    <t>Market Cap + Total Debt - (Cash + Cash Equivalents), where Capital employed = Share price * Diluted number of Shares (note that the share count is in absolute number and income statement is in millions, therefore divide the shares by 1000)</t>
  </si>
  <si>
    <t>Net income/ Diluted number of Shares (note that the share count is in absolute number and income statement is in millions, therefore divide the shares by 1000)</t>
  </si>
  <si>
    <t>Feedback</t>
  </si>
  <si>
    <t>Please calculate the  additional rations mentioned in rows 8 to 24 in Instructions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</si>
</sst>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165" formatCode="_(* #,##0.00_);_(* \(#,##0.00\);_(* &quot;-&quot;??_);_(@_)"/>
    <numFmt numFmtId="166" formatCode="_(* #,##0_);_(* \(#,##0\);_(* &quot;-&quot;??_);_(@_)"/>
    <numFmt numFmtId="167" formatCode="0.0"/>
    <numFmt numFmtId="179" formatCode="_-&quot;£&quot;* #,##0.0000_-;\-&quot;£&quot;* #,##0.0000_-;_-&quot;£&quot;* &quot;-&quot;_-;_-@_-"/>
    <numFmt numFmtId="181" formatCode="_-&quot;£&quot;* #,##0.000000_-;\-&quot;£&quot;* #,##0.000000_-;_-&quot;£&quot;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6" fontId="0" fillId="0" borderId="0" xfId="1" applyNumberFormat="1" applyFont="1"/>
    <xf numFmtId="166" fontId="2" fillId="0" borderId="1" xfId="1" applyNumberFormat="1" applyFont="1" applyBorder="1"/>
    <xf numFmtId="166" fontId="2" fillId="0" borderId="2" xfId="1" applyNumberFormat="1" applyFont="1" applyBorder="1"/>
    <xf numFmtId="166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7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9" fontId="0" fillId="0" borderId="0" xfId="3" applyFont="1"/>
    <xf numFmtId="165" fontId="0" fillId="0" borderId="0" xfId="1" applyFont="1"/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2" fontId="3" fillId="5" borderId="0" xfId="4" applyFont="1" applyFill="1"/>
    <xf numFmtId="2" fontId="0" fillId="0" borderId="0" xfId="0" applyNumberFormat="1"/>
    <xf numFmtId="42" fontId="0" fillId="0" borderId="0" xfId="0" applyNumberFormat="1"/>
    <xf numFmtId="179" fontId="0" fillId="0" borderId="0" xfId="0" applyNumberFormat="1"/>
    <xf numFmtId="181" fontId="0" fillId="0" borderId="0" xfId="0" applyNumberFormat="1"/>
  </cellXfs>
  <cellStyles count="5">
    <cellStyle name="Comma" xfId="1" builtinId="3"/>
    <cellStyle name="Currency [0]" xfId="4" builtinId="7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2" sqref="A2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7" workbookViewId="0">
      <selection activeCell="B53" sqref="B53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7" t="s">
        <v>1</v>
      </c>
      <c r="B2" s="27"/>
      <c r="C2" s="27"/>
      <c r="D2" s="27"/>
    </row>
    <row r="3" spans="1:10" x14ac:dyDescent="0.25">
      <c r="B3" s="26" t="s">
        <v>23</v>
      </c>
      <c r="C3" s="26"/>
      <c r="D3" s="26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27" t="s">
        <v>24</v>
      </c>
      <c r="B31" s="27"/>
      <c r="C31" s="27"/>
      <c r="D31" s="27"/>
    </row>
    <row r="32" spans="1:4" x14ac:dyDescent="0.25">
      <c r="B32" s="26" t="s">
        <v>142</v>
      </c>
      <c r="C32" s="26"/>
      <c r="D32" s="26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7" t="s">
        <v>55</v>
      </c>
      <c r="B71" s="27"/>
      <c r="C71" s="27"/>
      <c r="D71" s="27"/>
    </row>
    <row r="72" spans="1:4" x14ac:dyDescent="0.25">
      <c r="B72" s="26" t="s">
        <v>23</v>
      </c>
      <c r="C72" s="26"/>
      <c r="D72" s="26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topLeftCell="A32" workbookViewId="0">
      <selection activeCell="E50" sqref="E50"/>
    </sheetView>
  </sheetViews>
  <sheetFormatPr defaultRowHeight="15" x14ac:dyDescent="0.25"/>
  <cols>
    <col min="1" max="1" width="4.7109375" customWidth="1"/>
    <col min="2" max="2" width="44.85546875" customWidth="1"/>
    <col min="3" max="3" width="12.5703125" bestFit="1" customWidth="1"/>
    <col min="4" max="4" width="11.5703125" bestFit="1" customWidth="1"/>
    <col min="5" max="5" width="11" bestFit="1" customWidth="1"/>
    <col min="6" max="6" width="51.7109375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25" t="s">
        <v>178</v>
      </c>
      <c r="G1" s="19"/>
      <c r="H1" s="19"/>
      <c r="I1" s="19"/>
      <c r="J1" s="19"/>
    </row>
    <row r="2" spans="1:10" x14ac:dyDescent="0.25">
      <c r="C2" s="26" t="s">
        <v>23</v>
      </c>
      <c r="D2" s="26"/>
      <c r="E2" s="26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  <c r="C4" s="24">
        <f>'Financial Statements'!B42/'Financial Statements'!B56</f>
        <v>0.87935602862672257</v>
      </c>
      <c r="D4" s="24">
        <f>'Financial Statements'!C42/'Financial Statements'!C56</f>
        <v>1.0745531195957954</v>
      </c>
      <c r="E4" s="24">
        <f>'Financial Statements'!D42/'Financial Statements'!D56</f>
        <v>1.3636044481554577</v>
      </c>
    </row>
    <row r="5" spans="1:10" x14ac:dyDescent="0.25">
      <c r="A5" s="18">
        <f>+A4+0.1</f>
        <v>1.1000000000000001</v>
      </c>
      <c r="B5" s="1" t="s">
        <v>100</v>
      </c>
      <c r="C5" s="24">
        <f>(('Financial Statements'!B42-'Financial Statements'!B39)/'Financial Statements'!B56)</f>
        <v>0.84723539114961488</v>
      </c>
      <c r="D5" s="24">
        <f>(('Financial Statements'!C42-'Financial Statements'!C39)/'Financial Statements'!C56)</f>
        <v>1.0221149018576519</v>
      </c>
      <c r="E5" s="24">
        <f>(('Financial Statements'!D42-'Financial Statements'!D39)/'Financial Statements'!D56)</f>
        <v>1.325072111735236</v>
      </c>
    </row>
    <row r="6" spans="1:10" x14ac:dyDescent="0.25">
      <c r="A6" s="18">
        <f t="shared" ref="A6:A13" si="0">+A5+0.1</f>
        <v>1.2000000000000002</v>
      </c>
      <c r="B6" s="1" t="s">
        <v>101</v>
      </c>
      <c r="C6" s="24">
        <f>'Financial Statements'!B36/'Financial Statements'!B56</f>
        <v>0.15356340351469652</v>
      </c>
      <c r="D6" s="24">
        <f>'Financial Statements'!C36/'Financial Statements'!C56</f>
        <v>0.27844853005634318</v>
      </c>
      <c r="E6" s="24">
        <f>'Financial Statements'!D36/'Financial Statements'!D56</f>
        <v>0.36071049035979963</v>
      </c>
    </row>
    <row r="7" spans="1:10" x14ac:dyDescent="0.25">
      <c r="A7" s="18">
        <f t="shared" si="0"/>
        <v>1.3000000000000003</v>
      </c>
      <c r="B7" s="1" t="s">
        <v>102</v>
      </c>
      <c r="C7" s="24">
        <f>('Financial Statements'!B36+'Financial Statements'!B37)/'Financial Statements'!B56</f>
        <v>0.31369900377966253</v>
      </c>
      <c r="D7" s="24">
        <f>('Financial Statements'!C36+'Financial Statements'!C37)/'Financial Statements'!C56</f>
        <v>0.49919111259872012</v>
      </c>
      <c r="E7" s="24">
        <f>('Financial Statements'!D36+'Financial Statements'!D37)/'Financial Statements'!D56</f>
        <v>0.86290230757552755</v>
      </c>
      <c r="F7" t="s">
        <v>151</v>
      </c>
    </row>
    <row r="8" spans="1:10" x14ac:dyDescent="0.25">
      <c r="A8" s="18">
        <f t="shared" si="0"/>
        <v>1.4000000000000004</v>
      </c>
      <c r="B8" s="1" t="s">
        <v>103</v>
      </c>
      <c r="C8" s="24">
        <f>'Financial Statements'!B42/(('Financial Statements'!B17-'Financial Statements'!B79)/365)</f>
        <v>1228.1708953554833</v>
      </c>
      <c r="D8" s="24">
        <f>'Financial Statements'!C42/(('Financial Statements'!C17-'Financial Statements'!C79)/365)</f>
        <v>1509.5279575499187</v>
      </c>
      <c r="E8" s="24">
        <f>'Financial Statements'!D42/(('Financial Statements'!D17-'Financial Statements'!D79)/365)</f>
        <v>1899.7263870780819</v>
      </c>
      <c r="F8" t="s">
        <v>150</v>
      </c>
    </row>
    <row r="9" spans="1:10" x14ac:dyDescent="0.25">
      <c r="A9" s="18">
        <f t="shared" si="0"/>
        <v>1.5000000000000004</v>
      </c>
      <c r="B9" s="1" t="s">
        <v>104</v>
      </c>
      <c r="C9" s="24">
        <f>('Financial Statements'!B39/'Financial Statements'!B10)*365</f>
        <v>8.96054519012662</v>
      </c>
      <c r="D9" s="24">
        <f>365*('Financial Statements'!C39/'Financial Statements'!C12)</f>
        <v>11.27659274770989</v>
      </c>
      <c r="E9" s="24">
        <f>365*('Financial Statements'!D39/'Financial Statements'!D12)</f>
        <v>8.7418833562358831</v>
      </c>
    </row>
    <row r="10" spans="1:10" x14ac:dyDescent="0.25">
      <c r="A10" s="18">
        <f t="shared" si="0"/>
        <v>1.6000000000000005</v>
      </c>
      <c r="B10" s="1" t="s">
        <v>105</v>
      </c>
      <c r="C10" s="24">
        <f>('Financial Statements'!B51/'Financial Statements'!B12)*365</f>
        <v>104.68527730310539</v>
      </c>
      <c r="D10" s="24">
        <f>('Financial Statements'!C51/'Financial Statements'!C12)*365</f>
        <v>93.851071222315596</v>
      </c>
      <c r="E10" s="24">
        <f>('Financial Statements'!D51/'Financial Statements'!D12)*365</f>
        <v>91.048189715674198</v>
      </c>
    </row>
    <row r="11" spans="1:10" x14ac:dyDescent="0.25">
      <c r="A11" s="18">
        <f t="shared" si="0"/>
        <v>1.7000000000000006</v>
      </c>
      <c r="B11" s="1" t="s">
        <v>106</v>
      </c>
      <c r="C11" s="24">
        <f>('Financial Statements'!B38/'Financial Statements'!B8)*365</f>
        <v>26.087825363656648</v>
      </c>
      <c r="D11" s="24">
        <f>('Financial Statements'!C38/'Financial Statements'!C8)*365</f>
        <v>26.219311841713207</v>
      </c>
      <c r="E11" s="24">
        <f>('Financial Statements'!D38/'Financial Statements'!D8)*365</f>
        <v>21.433437152796749</v>
      </c>
    </row>
    <row r="12" spans="1:10" x14ac:dyDescent="0.25">
      <c r="A12" s="18">
        <f t="shared" si="0"/>
        <v>1.8000000000000007</v>
      </c>
      <c r="B12" s="1" t="s">
        <v>107</v>
      </c>
      <c r="C12" s="24">
        <f>(C9+C11)-C10</f>
        <v>-69.636906749322122</v>
      </c>
      <c r="D12" s="24">
        <f t="shared" ref="D12:E12" si="1">(D9+D11)-D10</f>
        <v>-56.355166632892498</v>
      </c>
      <c r="E12" s="24">
        <f t="shared" si="1"/>
        <v>-60.872869206641568</v>
      </c>
      <c r="F12" t="s">
        <v>152</v>
      </c>
    </row>
    <row r="13" spans="1:10" x14ac:dyDescent="0.25">
      <c r="A13" s="18">
        <f t="shared" si="0"/>
        <v>1.9000000000000008</v>
      </c>
      <c r="B13" s="1" t="s">
        <v>108</v>
      </c>
      <c r="C13" s="23">
        <f>C14/'Financial Statements'!B8</f>
        <v>-4.711052727678481E-2</v>
      </c>
      <c r="D13" s="23">
        <f>D14/'Financial Statements'!C8</f>
        <v>2.557289573748623E-2</v>
      </c>
      <c r="E13" s="23">
        <f>E14/'Financial Statements'!D8</f>
        <v>0.13959528623208203</v>
      </c>
      <c r="F13" t="s">
        <v>153</v>
      </c>
    </row>
    <row r="14" spans="1:10" x14ac:dyDescent="0.25">
      <c r="A14" s="18"/>
      <c r="B14" s="3" t="s">
        <v>109</v>
      </c>
      <c r="C14" s="12">
        <f>'Financial Statements'!B42-'Financial Statements'!B56</f>
        <v>-18577</v>
      </c>
      <c r="D14" s="12">
        <f>'Financial Statements'!C42-'Financial Statements'!C56</f>
        <v>9355</v>
      </c>
      <c r="E14" s="12">
        <f>'Financial Statements'!D42-'Financial Statements'!D56</f>
        <v>38321</v>
      </c>
      <c r="F14" t="s">
        <v>154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6" x14ac:dyDescent="0.25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</row>
    <row r="18" spans="1:6" x14ac:dyDescent="0.25">
      <c r="A18" s="18">
        <f>+A17+0.1</f>
        <v>2.2000000000000002</v>
      </c>
      <c r="B18" s="1" t="s">
        <v>111</v>
      </c>
      <c r="C18" s="23">
        <f>('Financial Statements'!B18+'Financial Statements'!B79)/'Financial Statements'!B8</f>
        <v>0.3310467428130896</v>
      </c>
      <c r="D18" s="23">
        <f>('Financial Statements'!C18+'Financial Statements'!C79)/'Financial Statements'!C8</f>
        <v>0.32866979938056462</v>
      </c>
      <c r="E18" s="23">
        <f>('Financial Statements'!D18+'Financial Statements'!D79)/'Financial Statements'!D8</f>
        <v>0.2817478097736007</v>
      </c>
      <c r="F18" t="s">
        <v>157</v>
      </c>
    </row>
    <row r="19" spans="1:6" x14ac:dyDescent="0.25">
      <c r="A19" s="18"/>
      <c r="B19" s="3" t="s">
        <v>112</v>
      </c>
      <c r="C19" s="28">
        <f>'Financial Statements'!B18+'Financial Statements'!B79</f>
        <v>130541</v>
      </c>
      <c r="D19" s="24">
        <f>'Financial Statements'!C18+'Financial Statements'!C79</f>
        <v>120233</v>
      </c>
      <c r="E19" s="24">
        <f>'Financial Statements'!D79</f>
        <v>11056</v>
      </c>
      <c r="F19" t="s">
        <v>155</v>
      </c>
    </row>
    <row r="20" spans="1:6" x14ac:dyDescent="0.25">
      <c r="A20" s="18">
        <f>+A18+0.1</f>
        <v>2.3000000000000003</v>
      </c>
      <c r="B20" s="1" t="s">
        <v>113</v>
      </c>
      <c r="C20" s="23">
        <f>C21/'Financial Statements'!B8</f>
        <v>0.30288744395528594</v>
      </c>
      <c r="D20" s="23">
        <f>D21/'Financial Statements'!C8</f>
        <v>0.29782377527561593</v>
      </c>
      <c r="E20" s="23">
        <f>E21/'Financial Statements'!D8</f>
        <v>0.24147314354406862</v>
      </c>
      <c r="F20" t="s">
        <v>158</v>
      </c>
    </row>
    <row r="21" spans="1:6" x14ac:dyDescent="0.25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  <c r="F21" t="s">
        <v>156</v>
      </c>
    </row>
    <row r="22" spans="1:6" x14ac:dyDescent="0.25">
      <c r="A22" s="18">
        <f>+A20+0.1</f>
        <v>2.4000000000000004</v>
      </c>
      <c r="B22" s="1" t="s">
        <v>115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</row>
    <row r="23" spans="1:6" x14ac:dyDescent="0.25">
      <c r="A23" s="18"/>
    </row>
    <row r="24" spans="1:6" x14ac:dyDescent="0.25">
      <c r="A24" s="18">
        <f>+A16+1</f>
        <v>3</v>
      </c>
      <c r="B24" s="7" t="s">
        <v>116</v>
      </c>
    </row>
    <row r="25" spans="1:6" x14ac:dyDescent="0.25">
      <c r="A25" s="18">
        <f>+A24+0.1</f>
        <v>3.1</v>
      </c>
      <c r="B25" s="1" t="s">
        <v>117</v>
      </c>
      <c r="C25" s="24">
        <f>'Financial Statements'!B59/'Financial Statements'!B68</f>
        <v>1.9529325860435744</v>
      </c>
      <c r="D25" s="24">
        <f>'Financial Statements'!C59/'Financial Statements'!C68</f>
        <v>1.729370740212395</v>
      </c>
      <c r="E25" s="24">
        <f>'Financial Statements'!D59/'Financial Statements'!D68</f>
        <v>1.5100782075024104</v>
      </c>
    </row>
    <row r="26" spans="1:6" x14ac:dyDescent="0.25">
      <c r="A26" s="18">
        <f t="shared" ref="A26:A30" si="2">+A25+0.1</f>
        <v>3.2</v>
      </c>
      <c r="B26" s="1" t="s">
        <v>118</v>
      </c>
      <c r="C26" s="24">
        <f>(('Financial Statements'!B59+'Financial Statements'!B60)/'Financial Statements'!B48)</f>
        <v>0.41984096610962285</v>
      </c>
      <c r="D26" s="24">
        <f>(('Financial Statements'!C59+'Financial Statements'!C60)/'Financial Statements'!C48)</f>
        <v>0.46276374493592631</v>
      </c>
      <c r="E26" s="24">
        <f>(('Financial Statements'!D59+'Financial Statements'!D60)/'Financial Statements'!D48)</f>
        <v>0.47287025144494393</v>
      </c>
    </row>
    <row r="27" spans="1:6" x14ac:dyDescent="0.25">
      <c r="A27" s="18">
        <f t="shared" si="2"/>
        <v>3.3000000000000003</v>
      </c>
      <c r="B27" s="1" t="s">
        <v>119</v>
      </c>
      <c r="C27" s="24">
        <f>'Financial Statements'!B59/('Financial Statements'!B59+'Financial Statements'!B68)</f>
        <v>0.66135359651409131</v>
      </c>
      <c r="D27" s="24">
        <f>'Financial Statements'!C59/('Financial Statements'!C59+'Financial Statements'!C68)</f>
        <v>0.63361518269878514</v>
      </c>
      <c r="E27" s="24">
        <f>'Financial Statements'!D59/('Financial Statements'!D59+'Financial Statements'!D68)</f>
        <v>0.60160603880345842</v>
      </c>
      <c r="F27" t="s">
        <v>159</v>
      </c>
    </row>
    <row r="28" spans="1:6" x14ac:dyDescent="0.25">
      <c r="A28" s="18">
        <f t="shared" si="2"/>
        <v>3.4000000000000004</v>
      </c>
      <c r="B28" s="1" t="s">
        <v>120</v>
      </c>
      <c r="C28" s="24">
        <f>'Financial Statements'!B18/'Financial Statements'!B114</f>
        <v>41.68830715532286</v>
      </c>
      <c r="D28" s="24">
        <f>'Financial Statements'!C18/'Financial Statements'!C114</f>
        <v>40.546706363974693</v>
      </c>
      <c r="E28" s="24">
        <f>'Financial Statements'!D18/'Financial Statements'!D114</f>
        <v>22.081279147235175</v>
      </c>
      <c r="F28" t="s">
        <v>161</v>
      </c>
    </row>
    <row r="29" spans="1:6" x14ac:dyDescent="0.25">
      <c r="A29" s="18">
        <f t="shared" si="2"/>
        <v>3.5000000000000004</v>
      </c>
      <c r="B29" s="1" t="s">
        <v>121</v>
      </c>
      <c r="C29" s="24">
        <f>'Financial Statements'!B20/('Financial Statements'!B114-'Financial Statements'!B105)</f>
        <v>9.5988878143133469</v>
      </c>
      <c r="D29" s="24">
        <f>'Financial Statements'!C20/('Financial Statements'!C114-'Financial Statements'!C105)</f>
        <v>9.5485704293083842</v>
      </c>
      <c r="E29" s="24">
        <f>'Financial Statements'!D20/('Financial Statements'!D114-'Financial Statements'!D105)</f>
        <v>4.2921758044910758</v>
      </c>
      <c r="F29" t="s">
        <v>160</v>
      </c>
    </row>
    <row r="30" spans="1:6" x14ac:dyDescent="0.25">
      <c r="A30" s="18">
        <f t="shared" si="2"/>
        <v>3.6000000000000005</v>
      </c>
      <c r="B30" s="1" t="s">
        <v>122</v>
      </c>
      <c r="C30" s="18">
        <f>C31/('Financial Statements'!B27/1000)</f>
        <v>5.8172308360595055</v>
      </c>
      <c r="D30" s="18">
        <f>D31/('Financial Statements'!C27/1000)</f>
        <v>4.1374094140853463</v>
      </c>
      <c r="E30" s="18">
        <f>E31/('Financial Statements'!D27/1000)</f>
        <v>3.4747341232503075</v>
      </c>
      <c r="F30" t="s">
        <v>163</v>
      </c>
    </row>
    <row r="31" spans="1:6" x14ac:dyDescent="0.25">
      <c r="A31" s="18"/>
      <c r="B31" s="3" t="s">
        <v>123</v>
      </c>
      <c r="C31">
        <f>'Financial Statements'!B91+'Financial Statements'!B99-'Financial Statements'!B104</f>
        <v>94332</v>
      </c>
      <c r="D31">
        <f>'Financial Statements'!C91+'Financial Statements'!C99-'Financial Statements'!C104</f>
        <v>69100</v>
      </c>
      <c r="E31">
        <f>'Financial Statements'!D91+'Financial Statements'!D99-'Financial Statements'!D104</f>
        <v>60294</v>
      </c>
      <c r="F31" t="s">
        <v>162</v>
      </c>
    </row>
    <row r="32" spans="1:6" x14ac:dyDescent="0.25">
      <c r="A32" s="18"/>
    </row>
    <row r="33" spans="1:6" x14ac:dyDescent="0.25">
      <c r="A33" s="18">
        <f>+A24+1</f>
        <v>4</v>
      </c>
      <c r="B33" s="17" t="s">
        <v>124</v>
      </c>
    </row>
    <row r="34" spans="1:6" x14ac:dyDescent="0.25">
      <c r="A34" s="18">
        <f>+A33+0.1</f>
        <v>4.0999999999999996</v>
      </c>
      <c r="B34" s="1" t="s">
        <v>125</v>
      </c>
      <c r="C34" s="29">
        <f>'Financial Statements'!B8/'Financial Statements'!B48</f>
        <v>1.1178523337727317</v>
      </c>
      <c r="D34" s="29">
        <f>'Financial Statements'!C8/'Financial Statements'!C48</f>
        <v>1.0422077367080529</v>
      </c>
      <c r="E34" s="29">
        <f>'Financial Statements'!D8/'Financial Statements'!D48</f>
        <v>0.84756150274168851</v>
      </c>
      <c r="F34" t="s">
        <v>164</v>
      </c>
    </row>
    <row r="35" spans="1:6" x14ac:dyDescent="0.25">
      <c r="A35" s="18">
        <f t="shared" ref="A35:A37" si="3">+A34+0.1</f>
        <v>4.1999999999999993</v>
      </c>
      <c r="B35" s="1" t="s">
        <v>126</v>
      </c>
      <c r="C35" s="29">
        <f>'Financial Statements'!B8/('Financial Statements'!B47)</f>
        <v>1.8142535081665516</v>
      </c>
      <c r="D35" s="29">
        <f>'Financial Statements'!C8/('Financial Statements'!C47)</f>
        <v>1.6922966608994938</v>
      </c>
      <c r="E35" s="29">
        <f>'Financial Statements'!D8/('Financial Statements'!D47)</f>
        <v>1.5236020535590398</v>
      </c>
      <c r="F35" t="s">
        <v>164</v>
      </c>
    </row>
    <row r="36" spans="1:6" x14ac:dyDescent="0.25">
      <c r="A36" s="18">
        <f t="shared" si="3"/>
        <v>4.2999999999999989</v>
      </c>
      <c r="B36" s="1" t="s">
        <v>127</v>
      </c>
      <c r="C36" s="29">
        <f>'Financial Statements'!B10/'Financial Statements'!B39</f>
        <v>40.734128588758594</v>
      </c>
      <c r="D36" s="29">
        <f>'Financial Statements'!C10/'Financial Statements'!C39</f>
        <v>29.219756838905774</v>
      </c>
      <c r="E36" s="29">
        <f>'Financial Statements'!D10/'Financial Statements'!D39</f>
        <v>37.253385865550356</v>
      </c>
      <c r="F36" t="s">
        <v>165</v>
      </c>
    </row>
    <row r="37" spans="1:6" x14ac:dyDescent="0.25">
      <c r="A37" s="18">
        <f t="shared" si="3"/>
        <v>4.3999999999999986</v>
      </c>
      <c r="B37" s="1" t="s">
        <v>128</v>
      </c>
      <c r="C37" s="29">
        <f>'Financial Statements'!B22/'Financial Statements'!B48</f>
        <v>0.28292440929256851</v>
      </c>
      <c r="D37" s="29">
        <f>'Financial Statements'!C22/'Financial Statements'!C48</f>
        <v>0.26974205275183616</v>
      </c>
      <c r="E37" s="29">
        <f>'Financial Statements'!D22/'Financial Statements'!D48</f>
        <v>0.1772557180259843</v>
      </c>
      <c r="F37" t="s">
        <v>166</v>
      </c>
    </row>
    <row r="38" spans="1:6" x14ac:dyDescent="0.25">
      <c r="A38" s="18"/>
    </row>
    <row r="39" spans="1:6" x14ac:dyDescent="0.25">
      <c r="A39" s="18">
        <f>+A33+1</f>
        <v>5</v>
      </c>
      <c r="B39" s="17" t="s">
        <v>129</v>
      </c>
    </row>
    <row r="40" spans="1:6" x14ac:dyDescent="0.25">
      <c r="A40" s="18">
        <f>+A39+0.1</f>
        <v>5.0999999999999996</v>
      </c>
      <c r="B40" s="1" t="s">
        <v>130</v>
      </c>
      <c r="C40">
        <f>137.8215/'Financial Statements'!B24</f>
        <v>22.409999999999997</v>
      </c>
      <c r="D40">
        <f>137.8215/'Financial Statements'!C24</f>
        <v>24.307142857142853</v>
      </c>
      <c r="E40">
        <f>137.8215/'Financial Statements'!D24</f>
        <v>41.637915407854983</v>
      </c>
      <c r="F40" t="s">
        <v>167</v>
      </c>
    </row>
    <row r="41" spans="1:6" x14ac:dyDescent="0.25">
      <c r="A41" s="18">
        <f t="shared" ref="A41:A44" si="4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  <c r="F41" t="s">
        <v>177</v>
      </c>
    </row>
    <row r="42" spans="1:6" x14ac:dyDescent="0.25">
      <c r="A42" s="18">
        <f t="shared" si="4"/>
        <v>5.2999999999999989</v>
      </c>
      <c r="B42" s="1" t="s">
        <v>132</v>
      </c>
      <c r="C42" s="29">
        <f>137.8215/C43</f>
        <v>44.404185019507807</v>
      </c>
      <c r="D42" s="29">
        <f t="shared" ref="D42:E42" si="5">137.8215/D43</f>
        <v>36.84178846027104</v>
      </c>
      <c r="E42" s="29">
        <f t="shared" si="5"/>
        <v>36.972784184040151</v>
      </c>
      <c r="F42" t="s">
        <v>168</v>
      </c>
    </row>
    <row r="43" spans="1:6" x14ac:dyDescent="0.25">
      <c r="A43" s="18">
        <f t="shared" si="4"/>
        <v>5.3999999999999986</v>
      </c>
      <c r="B43" s="3" t="s">
        <v>133</v>
      </c>
      <c r="C43">
        <f>'Financial Statements'!B68/('Financial Statements'!B28/1000)</f>
        <v>3.1037952827971451</v>
      </c>
      <c r="D43">
        <f>'Financial Statements'!C68/('Financial Statements'!C28/1000)</f>
        <v>3.740901453484597</v>
      </c>
      <c r="E43">
        <f>'Financial Statements'!D68/('Financial Statements'!D28/1000)</f>
        <v>3.7276473233382479</v>
      </c>
      <c r="F43" t="s">
        <v>172</v>
      </c>
    </row>
    <row r="44" spans="1:6" x14ac:dyDescent="0.25">
      <c r="A44" s="18">
        <f t="shared" si="4"/>
        <v>5.4999999999999982</v>
      </c>
      <c r="B44" s="1" t="s">
        <v>134</v>
      </c>
      <c r="C44">
        <f>'Financial Statements'!B102/'Financial Statements'!B22</f>
        <v>-0.14870294480125848</v>
      </c>
      <c r="D44">
        <f>'Financial Statements'!C102/'Financial Statements'!C22</f>
        <v>-0.15279890156316012</v>
      </c>
      <c r="E44">
        <f>'Financial Statements'!D102/'Financial Statements'!D22</f>
        <v>-0.24526658654264863</v>
      </c>
      <c r="F44" t="s">
        <v>169</v>
      </c>
    </row>
    <row r="45" spans="1:6" x14ac:dyDescent="0.25">
      <c r="A45" s="18"/>
      <c r="B45" s="3" t="s">
        <v>135</v>
      </c>
      <c r="C45">
        <f>'Financial Statements'!B102/('Financial Statements'!B28/1000)</f>
        <v>-0.90905087211857494</v>
      </c>
      <c r="D45">
        <f>'Financial Statements'!C102/('Financial Statements'!C28/1000)</f>
        <v>-0.85781615672153533</v>
      </c>
      <c r="E45">
        <f>'Financial Statements'!D102/('Financial Statements'!D28/1000)</f>
        <v>-0.80333341434558025</v>
      </c>
      <c r="F45" t="s">
        <v>173</v>
      </c>
    </row>
    <row r="46" spans="1:6" x14ac:dyDescent="0.25">
      <c r="A46" s="18">
        <f>+A44+0.1</f>
        <v>5.5999999999999979</v>
      </c>
      <c r="B46" s="1" t="s">
        <v>136</v>
      </c>
      <c r="C46">
        <f>C45/137.8215</f>
        <v>-6.5958567576073039E-3</v>
      </c>
      <c r="D46">
        <f t="shared" ref="D46:E46" si="6">D45/137.8215</f>
        <v>-6.2241098574716963E-3</v>
      </c>
      <c r="E46">
        <f t="shared" si="6"/>
        <v>-5.8287960466660163E-3</v>
      </c>
      <c r="F46" t="s">
        <v>170</v>
      </c>
    </row>
    <row r="47" spans="1:6" x14ac:dyDescent="0.25">
      <c r="A47" s="18">
        <f t="shared" ref="A47:A50" si="7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  <c r="F47" t="s">
        <v>174</v>
      </c>
    </row>
    <row r="48" spans="1:6" x14ac:dyDescent="0.25">
      <c r="A48" s="18">
        <f t="shared" si="7"/>
        <v>5.6999999999999975</v>
      </c>
      <c r="B48" s="1" t="s">
        <v>138</v>
      </c>
      <c r="C48">
        <f>'Financial Statements'!B18/('Financial Statements'!B55+'Financial Statements'!B59+'Financial Statements'!B68)</f>
        <v>0.74295684845016452</v>
      </c>
      <c r="D48">
        <f>'Financial Statements'!C18/('Financial Statements'!C55+'Financial Statements'!C59+'Financial Statements'!C68)</f>
        <v>0.59924976211298675</v>
      </c>
      <c r="E48">
        <f>'Financial Statements'!D18/('Financial Statements'!D55+'Financial Statements'!D59+'Financial Statements'!D68)</f>
        <v>0.38365773618321669</v>
      </c>
      <c r="F48" t="s">
        <v>175</v>
      </c>
    </row>
    <row r="49" spans="1:6" x14ac:dyDescent="0.25">
      <c r="A49" s="18">
        <f t="shared" si="7"/>
        <v>0.2</v>
      </c>
      <c r="B49" s="1" t="s">
        <v>128</v>
      </c>
      <c r="C49">
        <f>'Financial Statements'!B22/'Financial Statements'!B48</f>
        <v>0.28292440929256851</v>
      </c>
      <c r="D49">
        <f>'Financial Statements'!C22/'Financial Statements'!C48</f>
        <v>0.26974205275183616</v>
      </c>
      <c r="E49">
        <f>'Financial Statements'!D22/'Financial Statements'!D48</f>
        <v>0.1772557180259843</v>
      </c>
      <c r="F49" t="s">
        <v>166</v>
      </c>
    </row>
    <row r="50" spans="1:6" x14ac:dyDescent="0.25">
      <c r="A50" s="18">
        <f t="shared" si="7"/>
        <v>5.7999999999999972</v>
      </c>
      <c r="B50" s="1" t="s">
        <v>139</v>
      </c>
      <c r="C50" s="30">
        <f>C51/C19</f>
        <v>0</v>
      </c>
      <c r="D50" s="32">
        <f>D51/D19</f>
        <v>2.6287458518044131</v>
      </c>
      <c r="E50" s="31">
        <f t="shared" ref="D50:E50" si="8">E51/E19</f>
        <v>25.85672937771346</v>
      </c>
      <c r="F50" t="s">
        <v>171</v>
      </c>
    </row>
    <row r="51" spans="1:6" x14ac:dyDescent="0.25">
      <c r="A51" s="18"/>
      <c r="B51" s="3" t="s">
        <v>140</v>
      </c>
      <c r="D51">
        <f>'Financial Statements'!C69-'Financial Statements'!C36</f>
        <v>316062</v>
      </c>
      <c r="E51">
        <f>'Financial Statements'!D69-'Financial Statements'!D36</f>
        <v>285872</v>
      </c>
      <c r="F51" t="s">
        <v>176</v>
      </c>
    </row>
    <row r="53" spans="1:6" x14ac:dyDescent="0.25">
      <c r="F53" t="s">
        <v>179</v>
      </c>
    </row>
  </sheetData>
  <mergeCells count="1">
    <mergeCell ref="C2:E2"/>
  </mergeCells>
  <pageMargins left="0.7" right="0.7" top="0.75" bottom="0.75" header="0.3" footer="0.3"/>
  <ignoredErrors>
    <ignoredError sqref="C19 C26:E2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A8D2693BC73142BB403ACAFF35BA7E" ma:contentTypeVersion="7" ma:contentTypeDescription="Create a new document." ma:contentTypeScope="" ma:versionID="34fe24ff8b6f2eebb85c07189e9104d1">
  <xsd:schema xmlns:xsd="http://www.w3.org/2001/XMLSchema" xmlns:xs="http://www.w3.org/2001/XMLSchema" xmlns:p="http://schemas.microsoft.com/office/2006/metadata/properties" xmlns:ns3="a60acad0-187f-4750-ae59-1425f0cec924" targetNamespace="http://schemas.microsoft.com/office/2006/metadata/properties" ma:root="true" ma:fieldsID="cec8bc0449aeb5eb44c1d0b0b2d2ad5c" ns3:_="">
    <xsd:import namespace="a60acad0-187f-4750-ae59-1425f0cec9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0acad0-187f-4750-ae59-1425f0cec9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EF8D33-294C-4375-824E-7C2DD5EE6D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0acad0-187f-4750-ae59-1425f0cec9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AF8D23-60D3-4F39-AC1C-2C5F376789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4BFC82-A8BD-439A-B7EB-065FE528A42E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a60acad0-187f-4750-ae59-1425f0cec92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Riya Chowdhury</cp:lastModifiedBy>
  <dcterms:created xsi:type="dcterms:W3CDTF">2020-05-18T16:32:37Z</dcterms:created>
  <dcterms:modified xsi:type="dcterms:W3CDTF">2024-02-27T15:55:01Z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0x010100C5A8D2693BC73142BB403ACAFF35BA7E</vt:lpwstr>
  </property>
</Properties>
</file>